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E293233A-DB7C-4F99-8EE1-F7460191E054}" xr6:coauthVersionLast="47" xr6:coauthVersionMax="47" xr10:uidLastSave="{00000000-0000-0000-0000-000000000000}"/>
  <bookViews>
    <workbookView xWindow="28680" yWindow="-120" windowWidth="29040" windowHeight="15720" xr2:uid="{69512DCA-E263-49D6-A631-B62C5DBEEA8A}"/>
  </bookViews>
  <sheets>
    <sheet name="Geo Company Specifi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" l="1"/>
  <c r="K33" i="1"/>
  <c r="E33" i="1"/>
  <c r="K32" i="1"/>
  <c r="E32" i="1"/>
  <c r="E31" i="1"/>
  <c r="E29" i="1"/>
  <c r="K27" i="1"/>
  <c r="E27" i="1"/>
  <c r="K25" i="1"/>
  <c r="E25" i="1"/>
  <c r="E23" i="1"/>
  <c r="E18" i="1"/>
  <c r="K17" i="1"/>
  <c r="E17" i="1"/>
  <c r="K16" i="1"/>
  <c r="E16" i="1"/>
  <c r="E15" i="1"/>
  <c r="E12" i="1"/>
  <c r="E10" i="1"/>
  <c r="K9" i="1"/>
  <c r="E9" i="1"/>
  <c r="E8" i="1"/>
  <c r="E7" i="1"/>
  <c r="E6" i="1"/>
  <c r="E5" i="1"/>
  <c r="K4" i="1"/>
  <c r="E4" i="1"/>
  <c r="K3" i="1"/>
  <c r="E3" i="1"/>
  <c r="K2" i="1"/>
  <c r="E2" i="1"/>
</calcChain>
</file>

<file path=xl/sharedStrings.xml><?xml version="1.0" encoding="utf-8"?>
<sst xmlns="http://schemas.openxmlformats.org/spreadsheetml/2006/main" count="207" uniqueCount="88">
  <si>
    <t>Subzone</t>
  </si>
  <si>
    <t>Community</t>
  </si>
  <si>
    <t>Company</t>
  </si>
  <si>
    <t>Reported Actual Investment</t>
  </si>
  <si>
    <t xml:space="preserve">Projected Job Creation </t>
  </si>
  <si>
    <t xml:space="preserve">Projected Job Retention </t>
  </si>
  <si>
    <t>Reported Avg Weekly Wage of Jobs Created</t>
  </si>
  <si>
    <t>% Change in Taxable Value (TV)</t>
  </si>
  <si>
    <t>% Change in SEV</t>
  </si>
  <si>
    <t>First Year Benefits Received</t>
  </si>
  <si>
    <t>Elisha Gray Enterprise Park</t>
  </si>
  <si>
    <t>Benton Charter Township</t>
  </si>
  <si>
    <t>Miller's Pond</t>
  </si>
  <si>
    <t>City of Benton Harbor</t>
  </si>
  <si>
    <t>Edgewater Redevelopment Area</t>
  </si>
  <si>
    <t>City of St. Joseph</t>
  </si>
  <si>
    <t>Lufkin Rule/Hess Avenue/Fairgrounds</t>
  </si>
  <si>
    <t>City of Saginaw</t>
  </si>
  <si>
    <t>Did Not Report</t>
  </si>
  <si>
    <t>Central Business District</t>
  </si>
  <si>
    <t>Hamilton Street Development, LLC (f/k/a SSP &amp; Associates, Inc.)    (Amended)</t>
  </si>
  <si>
    <t>Midwest Manufacturing</t>
  </si>
  <si>
    <t>Northeast Saginaw Subzone</t>
  </si>
  <si>
    <t>Production Engineering Subzone</t>
  </si>
  <si>
    <t>City of Jackson</t>
  </si>
  <si>
    <t>Alro Steel Corporation - Plastics</t>
  </si>
  <si>
    <t>DCI Aerotech</t>
  </si>
  <si>
    <t>Did Not Report - Renaissance Zone Expired</t>
  </si>
  <si>
    <t>City of Detroit</t>
  </si>
  <si>
    <t>Downtown-Office-Retail</t>
  </si>
  <si>
    <t>City of Flint</t>
  </si>
  <si>
    <t>Historic-Industrial-Housing</t>
  </si>
  <si>
    <t xml:space="preserve">River City Developments, LLC and Rogers Foam Corporation </t>
  </si>
  <si>
    <t>Great Lakes Medical Complex</t>
  </si>
  <si>
    <t>Did Not Report - Company in Default</t>
  </si>
  <si>
    <t xml:space="preserve">Furniture Center </t>
  </si>
  <si>
    <t>City of Grand Rapids</t>
  </si>
  <si>
    <t>Furniture Center</t>
  </si>
  <si>
    <t>Did Not Report - No Reporting Requirements</t>
  </si>
  <si>
    <t>Grandville</t>
  </si>
  <si>
    <t>Wealthy-Eastern-Franklin</t>
  </si>
  <si>
    <t>Ottawa Station</t>
  </si>
  <si>
    <t>City of Lansing</t>
  </si>
  <si>
    <t>Knapp's Centre</t>
  </si>
  <si>
    <t>Midlink Business Park</t>
  </si>
  <si>
    <t>Township of Comstock</t>
  </si>
  <si>
    <t>BC Tower</t>
  </si>
  <si>
    <t>City of Battle Creek</t>
  </si>
  <si>
    <t xml:space="preserve">The Hinman Company </t>
  </si>
  <si>
    <t>Eastlake/ Filer/Manistee and Eastlake/Filer/ Manistee II</t>
  </si>
  <si>
    <t>City of Manistee</t>
  </si>
  <si>
    <t>Village of Edmore</t>
  </si>
  <si>
    <t>Muskegon Mall/Rook Project</t>
  </si>
  <si>
    <t>City of Muskegon</t>
  </si>
  <si>
    <t>Former Muskegon Mall</t>
  </si>
  <si>
    <t>Midtown Hospital Campus</t>
  </si>
  <si>
    <t>Wayne County</t>
  </si>
  <si>
    <t xml:space="preserve">VHS of Michigan, Inc. (Vanguard/DMC) </t>
  </si>
  <si>
    <t>Woodward Avenue (Old Hudson's Bldg.)</t>
  </si>
  <si>
    <t>Required Investment</t>
  </si>
  <si>
    <t>Reported Current Jobs</t>
  </si>
  <si>
    <t>Reported Jobs Transferred to Zone</t>
  </si>
  <si>
    <t>Whirlpool Corp.</t>
  </si>
  <si>
    <t>Gateway Financial Services, Inc.</t>
  </si>
  <si>
    <t>Hausbeck Pickle Company</t>
  </si>
  <si>
    <t xml:space="preserve">Saginaw Cooperative Hospitals, Inc. </t>
  </si>
  <si>
    <t>500 Block, LLC</t>
  </si>
  <si>
    <t>Baker Uptown, LLC</t>
  </si>
  <si>
    <t xml:space="preserve">Community First, LLC </t>
  </si>
  <si>
    <t xml:space="preserve">Diplomat Specialty Pharmacy, LLC </t>
  </si>
  <si>
    <t xml:space="preserve">0 Dewey, LLC (True North) </t>
  </si>
  <si>
    <t xml:space="preserve">Seventh Street Properties, LLC </t>
  </si>
  <si>
    <t>Specialty Lifting Equipment, Inc.</t>
  </si>
  <si>
    <t xml:space="preserve">IINN, Inc. </t>
  </si>
  <si>
    <t xml:space="preserve">Intrepid Web, LLC </t>
  </si>
  <si>
    <t xml:space="preserve">120 Woodward, LLC </t>
  </si>
  <si>
    <t xml:space="preserve">American Seating  </t>
  </si>
  <si>
    <t xml:space="preserve">Hotel Holdings Monroe  </t>
  </si>
  <si>
    <t xml:space="preserve">Parkland Muskegon, LLC  </t>
  </si>
  <si>
    <t xml:space="preserve">General Motors </t>
  </si>
  <si>
    <t xml:space="preserve">Wealthy Street Historic Development, LLC </t>
  </si>
  <si>
    <t xml:space="preserve">Phoenix Development Partners, LLC &amp; Accident Fund </t>
  </si>
  <si>
    <t xml:space="preserve">Eyde Knapp Development, LLC  </t>
  </si>
  <si>
    <t xml:space="preserve">Kaiser Aluminum Fabricated Products, LLC </t>
  </si>
  <si>
    <t xml:space="preserve">American Materials (Reith 
Riley) </t>
  </si>
  <si>
    <t xml:space="preserve">Heritage Square Development, LLC 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</si>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</sst>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  <numFmt numFmtId="166" formatCode="#,##0.0"/>
    <numFmt numFmtId="167" formatCode="#,##0.0_);\(#,##0.0\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65" fontId="2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7" fontId="2" fillId="2" borderId="1" xfId="1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2" fillId="0" borderId="0" xfId="0" applyFont="1" applyAlignment="1">
      <alignment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2" fillId="2" borderId="1" xfId="2" applyNumberFormat="1" applyFont="1" applyFill="1" applyBorder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2" fillId="2" borderId="1" xfId="1" applyNumberFormat="1" applyFont="1" applyFill="1" applyBorder="1" applyAlignment="1">
      <alignment vertical="center" wrapText="1"/>
    </xf>
    <xf numFmtId="164" fontId="2" fillId="2" borderId="1" xfId="2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vertical="center" wrapText="1"/>
    </xf>
    <xf numFmtId="166" fontId="2" fillId="2" borderId="1" xfId="1" applyNumberFormat="1" applyFont="1" applyFill="1" applyBorder="1" applyAlignment="1">
      <alignment vertical="center" wrapText="1"/>
    </xf>
    <xf numFmtId="167" fontId="2" fillId="2" borderId="1" xfId="1" applyNumberFormat="1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wrapText="1"/>
    </xf>
    <xf numFmtId="1" fontId="2" fillId="2" borderId="1" xfId="1" applyNumberFormat="1" applyFont="1" applyFill="1" applyBorder="1" applyAlignment="1">
      <alignment vertical="center" wrapText="1"/>
    </xf>
    <xf numFmtId="37" fontId="2" fillId="2" borderId="1" xfId="1" applyNumberFormat="1" applyFont="1" applyFill="1" applyBorder="1" applyAlignment="1">
      <alignment horizontal="center" vertical="center" wrapText="1"/>
    </xf>
    <xf numFmtId="37" fontId="2" fillId="2" borderId="1" xfId="1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CACB9-C6B4-4C72-802A-A1CDA579797F}">
  <sheetPr>
    <tabColor rgb="FF00B050"/>
    <pageSetUpPr fitToPage="1"/>
  </sheetPr>
  <dimension ref="A1:P34"/>
  <sheetViews>
    <sheetView showGridLines="0" tabSelected="1" zoomScale="70" zoomScaleNormal="70" workbookViewId="0">
      <pane ySplit="1" topLeftCell="A2" activePane="bottomLeft" state="frozen"/>
      <selection pane="bottomLeft" activeCell="G1" sqref="G1"/>
    </sheetView>
  </sheetViews>
  <sheetFormatPr defaultColWidth="9.140625" defaultRowHeight="15" x14ac:dyDescent="0.25"/>
  <cols>
    <col min="1" max="1" width="31.42578125" style="14" bestFit="1" customWidth="1"/>
    <col min="2" max="2" width="23.85546875" style="14" bestFit="1" customWidth="1"/>
    <col min="3" max="3" width="28.85546875" style="14" bestFit="1" customWidth="1"/>
    <col min="4" max="4" width="41.42578125" style="14" bestFit="1" customWidth="1"/>
    <col min="5" max="11" width="20.5703125" style="14" customWidth="1"/>
    <col min="12" max="12" width="19.85546875" style="14" customWidth="1"/>
    <col min="13" max="14" width="23" style="14" customWidth="1"/>
    <col min="15" max="15" width="23" style="37" customWidth="1"/>
    <col min="16" max="16384" width="9.140625" style="14"/>
  </cols>
  <sheetData>
    <row r="1" spans="1:16" ht="45" x14ac:dyDescent="0.25">
      <c r="A1" s="5" t="s">
        <v>0</v>
      </c>
      <c r="B1" s="5" t="s">
        <v>1</v>
      </c>
      <c r="C1" s="5" t="s">
        <v>2</v>
      </c>
      <c r="D1" s="5" t="s">
        <v>59</v>
      </c>
      <c r="E1" s="5" t="s">
        <v>3</v>
      </c>
      <c r="F1" s="5" t="s">
        <v>4</v>
      </c>
      <c r="G1" s="5" t="s">
        <v>5</v>
      </c>
      <c r="H1" s="5" t="s">
        <v>60</v>
      </c>
      <c r="I1" s="5" t="s">
        <v>61</v>
      </c>
      <c r="J1" s="5" t="s">
        <v>86</v>
      </c>
      <c r="K1" s="5" t="s">
        <v>87</v>
      </c>
      <c r="L1" s="5" t="s">
        <v>6</v>
      </c>
      <c r="M1" s="5" t="s">
        <v>7</v>
      </c>
      <c r="N1" s="5" t="s">
        <v>8</v>
      </c>
      <c r="O1" s="1" t="s">
        <v>9</v>
      </c>
    </row>
    <row r="2" spans="1:16" x14ac:dyDescent="0.25">
      <c r="A2" s="13" t="s">
        <v>10</v>
      </c>
      <c r="B2" s="2" t="s">
        <v>11</v>
      </c>
      <c r="C2" s="2" t="s">
        <v>62</v>
      </c>
      <c r="D2" s="15">
        <v>21538996</v>
      </c>
      <c r="E2" s="16">
        <f>SUM(32685729+842014+306112+1589335+77355+733663+523554+651,862)</f>
        <v>36759275</v>
      </c>
      <c r="F2" s="4">
        <v>0</v>
      </c>
      <c r="G2" s="4">
        <v>0</v>
      </c>
      <c r="H2" s="4">
        <v>425</v>
      </c>
      <c r="I2" s="4">
        <v>39</v>
      </c>
      <c r="J2" s="4">
        <v>0</v>
      </c>
      <c r="K2" s="4">
        <f>H2-I2</f>
        <v>386</v>
      </c>
      <c r="L2" s="17">
        <v>993</v>
      </c>
      <c r="M2" s="18">
        <v>30.42</v>
      </c>
      <c r="N2" s="18">
        <v>30.42</v>
      </c>
      <c r="O2" s="19">
        <v>40544</v>
      </c>
      <c r="P2" s="20"/>
    </row>
    <row r="3" spans="1:16" x14ac:dyDescent="0.25">
      <c r="A3" s="8" t="s">
        <v>12</v>
      </c>
      <c r="B3" s="6" t="s">
        <v>13</v>
      </c>
      <c r="C3" s="2" t="s">
        <v>62</v>
      </c>
      <c r="D3" s="21">
        <v>65325843</v>
      </c>
      <c r="E3" s="22">
        <f>SUM(91596394+39231+2,554,543)</f>
        <v>91636724</v>
      </c>
      <c r="F3" s="6">
        <v>0</v>
      </c>
      <c r="G3" s="6">
        <v>0</v>
      </c>
      <c r="H3" s="6">
        <v>560</v>
      </c>
      <c r="I3" s="6">
        <v>166</v>
      </c>
      <c r="J3" s="6">
        <v>0</v>
      </c>
      <c r="K3" s="6">
        <f>H3-I3</f>
        <v>394</v>
      </c>
      <c r="L3" s="22">
        <v>2370</v>
      </c>
      <c r="M3" s="7">
        <v>6.21</v>
      </c>
      <c r="N3" s="6">
        <v>3.76</v>
      </c>
      <c r="O3" s="19">
        <v>40544</v>
      </c>
    </row>
    <row r="4" spans="1:16" x14ac:dyDescent="0.25">
      <c r="A4" s="8" t="s">
        <v>14</v>
      </c>
      <c r="B4" s="6" t="s">
        <v>15</v>
      </c>
      <c r="C4" s="2" t="s">
        <v>62</v>
      </c>
      <c r="D4" s="21">
        <v>175000</v>
      </c>
      <c r="E4" s="22">
        <f>SUM(83184441+720690+2265477+4137437+741707+452335+561171+153,297)</f>
        <v>92063708</v>
      </c>
      <c r="F4" s="6">
        <v>0</v>
      </c>
      <c r="G4" s="6">
        <v>0</v>
      </c>
      <c r="H4" s="23">
        <v>493</v>
      </c>
      <c r="I4" s="6">
        <v>78</v>
      </c>
      <c r="J4" s="6">
        <v>0</v>
      </c>
      <c r="K4" s="23">
        <f>H4-I4</f>
        <v>415</v>
      </c>
      <c r="L4" s="22">
        <v>2397</v>
      </c>
      <c r="M4" s="7">
        <v>-52.11</v>
      </c>
      <c r="N4" s="6">
        <v>-46.01</v>
      </c>
      <c r="O4" s="19">
        <v>40544</v>
      </c>
    </row>
    <row r="5" spans="1:16" ht="30" x14ac:dyDescent="0.25">
      <c r="A5" s="6" t="s">
        <v>16</v>
      </c>
      <c r="B5" s="6" t="s">
        <v>17</v>
      </c>
      <c r="C5" s="6" t="s">
        <v>63</v>
      </c>
      <c r="D5" s="9">
        <v>1800000</v>
      </c>
      <c r="E5" s="24">
        <f>SUM(3144577.33+101903.46)</f>
        <v>3246480.79</v>
      </c>
      <c r="F5" s="4">
        <v>30</v>
      </c>
      <c r="G5" s="4">
        <v>0</v>
      </c>
      <c r="H5" s="4" t="s">
        <v>18</v>
      </c>
      <c r="I5" s="4">
        <v>0</v>
      </c>
      <c r="J5" s="4">
        <v>59</v>
      </c>
      <c r="K5" s="4" t="s">
        <v>18</v>
      </c>
      <c r="L5" s="4" t="s">
        <v>18</v>
      </c>
      <c r="M5" s="4" t="s">
        <v>18</v>
      </c>
      <c r="N5" s="4" t="s">
        <v>18</v>
      </c>
      <c r="O5" s="19">
        <v>40544</v>
      </c>
    </row>
    <row r="6" spans="1:16" ht="45" x14ac:dyDescent="0.25">
      <c r="A6" s="6" t="s">
        <v>19</v>
      </c>
      <c r="B6" s="6" t="s">
        <v>17</v>
      </c>
      <c r="C6" s="6" t="s">
        <v>20</v>
      </c>
      <c r="D6" s="9">
        <v>6148000</v>
      </c>
      <c r="E6" s="9">
        <f>SUM(5824669+2338479+415185.36+476654.15+146)</f>
        <v>9055133.5099999998</v>
      </c>
      <c r="F6" s="4">
        <v>12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10">
        <v>0</v>
      </c>
      <c r="M6" s="25" t="s">
        <v>18</v>
      </c>
      <c r="N6" s="25" t="s">
        <v>18</v>
      </c>
      <c r="O6" s="19">
        <v>40909</v>
      </c>
    </row>
    <row r="7" spans="1:16" x14ac:dyDescent="0.25">
      <c r="A7" s="6" t="s">
        <v>19</v>
      </c>
      <c r="B7" s="6" t="s">
        <v>17</v>
      </c>
      <c r="C7" s="6" t="s">
        <v>64</v>
      </c>
      <c r="D7" s="26">
        <v>1500000</v>
      </c>
      <c r="E7" s="26">
        <f>SUM(3942213+5723)</f>
        <v>3947936</v>
      </c>
      <c r="F7" s="6">
        <v>0</v>
      </c>
      <c r="G7" s="6">
        <v>0</v>
      </c>
      <c r="H7" s="6" t="s">
        <v>18</v>
      </c>
      <c r="I7" s="6">
        <v>0</v>
      </c>
      <c r="J7" s="6">
        <v>38</v>
      </c>
      <c r="K7" s="6" t="s">
        <v>18</v>
      </c>
      <c r="L7" s="6" t="s">
        <v>18</v>
      </c>
      <c r="M7" s="6" t="s">
        <v>18</v>
      </c>
      <c r="N7" s="6" t="s">
        <v>18</v>
      </c>
      <c r="O7" s="19">
        <v>40544</v>
      </c>
    </row>
    <row r="8" spans="1:16" x14ac:dyDescent="0.25">
      <c r="A8" s="6" t="s">
        <v>19</v>
      </c>
      <c r="B8" s="6" t="s">
        <v>17</v>
      </c>
      <c r="C8" s="6" t="s">
        <v>21</v>
      </c>
      <c r="D8" s="26">
        <v>5700000</v>
      </c>
      <c r="E8" s="26">
        <f>SUM(20334097+9530+215641+87153+7821.06+323917.07)</f>
        <v>20978159.129999999</v>
      </c>
      <c r="F8" s="6">
        <v>25</v>
      </c>
      <c r="G8" s="6">
        <v>0</v>
      </c>
      <c r="H8" s="6">
        <v>87</v>
      </c>
      <c r="I8" s="6">
        <v>0</v>
      </c>
      <c r="J8" s="6">
        <v>0</v>
      </c>
      <c r="K8" s="6">
        <v>82</v>
      </c>
      <c r="L8" s="26">
        <v>701</v>
      </c>
      <c r="M8" s="27">
        <v>276.58999999999997</v>
      </c>
      <c r="N8" s="27">
        <v>88.3</v>
      </c>
      <c r="O8" s="19">
        <v>40544</v>
      </c>
    </row>
    <row r="9" spans="1:16" ht="30" x14ac:dyDescent="0.25">
      <c r="A9" s="8" t="s">
        <v>22</v>
      </c>
      <c r="B9" s="8" t="s">
        <v>17</v>
      </c>
      <c r="C9" s="6" t="s">
        <v>65</v>
      </c>
      <c r="D9" s="26">
        <v>1500000</v>
      </c>
      <c r="E9" s="26">
        <f>2355786+2255786+2255786</f>
        <v>6867358</v>
      </c>
      <c r="F9" s="6">
        <v>10</v>
      </c>
      <c r="G9" s="6">
        <v>0</v>
      </c>
      <c r="H9" s="6">
        <v>55</v>
      </c>
      <c r="I9" s="6">
        <v>0</v>
      </c>
      <c r="J9" s="6">
        <v>27</v>
      </c>
      <c r="K9" s="6">
        <f>H9-J9</f>
        <v>28</v>
      </c>
      <c r="L9" s="21">
        <v>2712</v>
      </c>
      <c r="M9" s="28">
        <v>1239.8499999999999</v>
      </c>
      <c r="N9" s="27">
        <v>1239.8499999999999</v>
      </c>
      <c r="O9" s="19">
        <v>40544</v>
      </c>
    </row>
    <row r="10" spans="1:16" ht="30" x14ac:dyDescent="0.25">
      <c r="A10" s="6" t="s">
        <v>23</v>
      </c>
      <c r="B10" s="6" t="s">
        <v>24</v>
      </c>
      <c r="C10" s="6" t="s">
        <v>25</v>
      </c>
      <c r="D10" s="26">
        <v>1800000</v>
      </c>
      <c r="E10" s="26">
        <f>SUM(4082411.73+2226075+1856337)</f>
        <v>8164823.7300000004</v>
      </c>
      <c r="F10" s="6">
        <v>10</v>
      </c>
      <c r="G10" s="6">
        <v>0</v>
      </c>
      <c r="H10" s="6">
        <v>79</v>
      </c>
      <c r="I10" s="6">
        <v>48</v>
      </c>
      <c r="J10" s="6">
        <v>31</v>
      </c>
      <c r="K10" s="6">
        <v>0</v>
      </c>
      <c r="L10" s="26">
        <v>336</v>
      </c>
      <c r="M10" s="29">
        <v>2405.71</v>
      </c>
      <c r="N10" s="29">
        <v>2417.84</v>
      </c>
      <c r="O10" s="19">
        <v>41275</v>
      </c>
    </row>
    <row r="11" spans="1:16" ht="45" x14ac:dyDescent="0.25">
      <c r="A11" s="30" t="s">
        <v>26</v>
      </c>
      <c r="B11" s="30" t="s">
        <v>28</v>
      </c>
      <c r="C11" s="30" t="s">
        <v>26</v>
      </c>
      <c r="D11" s="26">
        <v>5000000</v>
      </c>
      <c r="E11" s="26">
        <v>10314469.16</v>
      </c>
      <c r="F11" s="6" t="s">
        <v>27</v>
      </c>
      <c r="G11" s="6" t="s">
        <v>27</v>
      </c>
      <c r="H11" s="6" t="s">
        <v>27</v>
      </c>
      <c r="I11" s="6" t="s">
        <v>27</v>
      </c>
      <c r="J11" s="6" t="s">
        <v>27</v>
      </c>
      <c r="K11" s="6" t="s">
        <v>27</v>
      </c>
      <c r="L11" s="6" t="s">
        <v>27</v>
      </c>
      <c r="M11" s="6" t="s">
        <v>27</v>
      </c>
      <c r="N11" s="6" t="s">
        <v>27</v>
      </c>
      <c r="O11" s="19">
        <v>40179</v>
      </c>
    </row>
    <row r="12" spans="1:16" x14ac:dyDescent="0.25">
      <c r="A12" s="6" t="s">
        <v>29</v>
      </c>
      <c r="B12" s="6" t="s">
        <v>30</v>
      </c>
      <c r="C12" s="6" t="s">
        <v>66</v>
      </c>
      <c r="D12" s="22">
        <v>20000000</v>
      </c>
      <c r="E12" s="26">
        <f>SUM(21295988+16230)</f>
        <v>21312218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26">
        <v>0</v>
      </c>
      <c r="M12" s="7">
        <v>411.39</v>
      </c>
      <c r="N12" s="7">
        <v>459</v>
      </c>
      <c r="O12" s="36">
        <v>39814</v>
      </c>
    </row>
    <row r="13" spans="1:16" x14ac:dyDescent="0.25">
      <c r="A13" s="6" t="s">
        <v>29</v>
      </c>
      <c r="B13" s="6" t="s">
        <v>30</v>
      </c>
      <c r="C13" s="6" t="s">
        <v>67</v>
      </c>
      <c r="D13" s="22">
        <v>5200000</v>
      </c>
      <c r="E13" s="26">
        <v>5300000</v>
      </c>
      <c r="F13" s="31">
        <v>42</v>
      </c>
      <c r="G13" s="31">
        <v>35</v>
      </c>
      <c r="H13" s="31">
        <v>0</v>
      </c>
      <c r="I13" s="31">
        <v>0</v>
      </c>
      <c r="J13" s="31">
        <v>0</v>
      </c>
      <c r="K13" s="31">
        <v>0</v>
      </c>
      <c r="L13" s="26">
        <v>0</v>
      </c>
      <c r="M13" s="7">
        <v>69.73</v>
      </c>
      <c r="N13" s="7">
        <v>330.55</v>
      </c>
      <c r="O13" s="36">
        <v>39814</v>
      </c>
    </row>
    <row r="14" spans="1:16" x14ac:dyDescent="0.25">
      <c r="A14" s="6" t="s">
        <v>29</v>
      </c>
      <c r="B14" s="6" t="s">
        <v>30</v>
      </c>
      <c r="C14" s="6" t="s">
        <v>68</v>
      </c>
      <c r="D14" s="16">
        <v>3000000</v>
      </c>
      <c r="E14" s="9">
        <v>3352000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10">
        <v>0</v>
      </c>
      <c r="M14" s="18">
        <v>118.63</v>
      </c>
      <c r="N14" s="18">
        <v>593.91</v>
      </c>
      <c r="O14" s="36">
        <v>39814</v>
      </c>
    </row>
    <row r="15" spans="1:16" ht="30" x14ac:dyDescent="0.25">
      <c r="A15" s="6" t="s">
        <v>31</v>
      </c>
      <c r="B15" s="6" t="s">
        <v>30</v>
      </c>
      <c r="C15" s="6" t="s">
        <v>32</v>
      </c>
      <c r="D15" s="16">
        <v>100000</v>
      </c>
      <c r="E15" s="9">
        <f>SUM(2398047+10000+154000+175000+50000+8000)</f>
        <v>2795047</v>
      </c>
      <c r="F15" s="3">
        <v>15</v>
      </c>
      <c r="G15" s="3">
        <v>0</v>
      </c>
      <c r="H15" s="3" t="s">
        <v>18</v>
      </c>
      <c r="I15" s="3">
        <v>0</v>
      </c>
      <c r="J15" s="3">
        <v>0</v>
      </c>
      <c r="K15" s="3" t="s">
        <v>18</v>
      </c>
      <c r="L15" s="3" t="s">
        <v>18</v>
      </c>
      <c r="M15" s="3" t="s">
        <v>18</v>
      </c>
      <c r="N15" s="3" t="s">
        <v>18</v>
      </c>
      <c r="O15" s="36">
        <v>39814</v>
      </c>
    </row>
    <row r="16" spans="1:16" x14ac:dyDescent="0.25">
      <c r="A16" s="6" t="s">
        <v>31</v>
      </c>
      <c r="B16" s="6" t="s">
        <v>30</v>
      </c>
      <c r="C16" s="6" t="s">
        <v>79</v>
      </c>
      <c r="D16" s="16">
        <v>5000000</v>
      </c>
      <c r="E16" s="9">
        <f>SUM(35412650+1362267+1049451.96+2,563,909.06)</f>
        <v>37825843.020000003</v>
      </c>
      <c r="F16" s="3">
        <v>0</v>
      </c>
      <c r="G16" s="3">
        <v>267</v>
      </c>
      <c r="H16" s="3">
        <v>288</v>
      </c>
      <c r="I16" s="3">
        <v>69</v>
      </c>
      <c r="J16" s="3">
        <v>267</v>
      </c>
      <c r="K16" s="3">
        <f>H16-I16-J16</f>
        <v>-48</v>
      </c>
      <c r="L16" s="10">
        <v>1432</v>
      </c>
      <c r="M16" s="18">
        <v>-89.18</v>
      </c>
      <c r="N16" s="18">
        <v>-86.43</v>
      </c>
      <c r="O16" s="36">
        <v>39814</v>
      </c>
    </row>
    <row r="17" spans="1:15" x14ac:dyDescent="0.25">
      <c r="A17" s="6" t="s">
        <v>33</v>
      </c>
      <c r="B17" s="6" t="s">
        <v>30</v>
      </c>
      <c r="C17" s="6" t="s">
        <v>73</v>
      </c>
      <c r="D17" s="16">
        <v>18000000</v>
      </c>
      <c r="E17" s="24">
        <f>SUM(9482938.64+51000+77100+607369.97+64675.54+556176.48)</f>
        <v>10839260.630000001</v>
      </c>
      <c r="F17" s="3">
        <v>100</v>
      </c>
      <c r="G17" s="3">
        <v>20</v>
      </c>
      <c r="H17" s="3">
        <v>233</v>
      </c>
      <c r="I17" s="3">
        <v>0</v>
      </c>
      <c r="J17" s="3">
        <v>20</v>
      </c>
      <c r="K17" s="3">
        <f>H17-I17-J17</f>
        <v>213</v>
      </c>
      <c r="L17" s="10">
        <v>708</v>
      </c>
      <c r="M17" s="18" t="s">
        <v>18</v>
      </c>
      <c r="N17" s="18" t="s">
        <v>18</v>
      </c>
      <c r="O17" s="36">
        <v>40544</v>
      </c>
    </row>
    <row r="18" spans="1:15" ht="30" x14ac:dyDescent="0.25">
      <c r="A18" s="8" t="s">
        <v>33</v>
      </c>
      <c r="B18" s="6" t="s">
        <v>30</v>
      </c>
      <c r="C18" s="6" t="s">
        <v>69</v>
      </c>
      <c r="D18" s="16">
        <v>9900000</v>
      </c>
      <c r="E18" s="24">
        <f>SUM(17095220+751966)</f>
        <v>17847186</v>
      </c>
      <c r="F18" s="32">
        <v>1039</v>
      </c>
      <c r="G18" s="32">
        <v>269</v>
      </c>
      <c r="H18" s="33" t="s">
        <v>34</v>
      </c>
      <c r="I18" s="33" t="s">
        <v>34</v>
      </c>
      <c r="J18" s="33" t="s">
        <v>34</v>
      </c>
      <c r="K18" s="33" t="s">
        <v>34</v>
      </c>
      <c r="L18" s="33" t="s">
        <v>34</v>
      </c>
      <c r="M18" s="33" t="s">
        <v>34</v>
      </c>
      <c r="N18" s="33" t="s">
        <v>34</v>
      </c>
      <c r="O18" s="36">
        <v>40544</v>
      </c>
    </row>
    <row r="19" spans="1:15" x14ac:dyDescent="0.25">
      <c r="A19" s="6" t="s">
        <v>35</v>
      </c>
      <c r="B19" s="6" t="s">
        <v>36</v>
      </c>
      <c r="C19" s="6" t="s">
        <v>70</v>
      </c>
      <c r="D19" s="9">
        <v>1900000</v>
      </c>
      <c r="E19" s="9">
        <v>1987898.23</v>
      </c>
      <c r="F19" s="4">
        <v>0</v>
      </c>
      <c r="G19" s="4">
        <v>0</v>
      </c>
      <c r="H19" s="4">
        <v>0</v>
      </c>
      <c r="I19" s="34">
        <v>0</v>
      </c>
      <c r="J19" s="35">
        <v>0</v>
      </c>
      <c r="K19" s="4">
        <v>0</v>
      </c>
      <c r="L19" s="10">
        <v>0</v>
      </c>
      <c r="M19" s="18">
        <v>795.56</v>
      </c>
      <c r="N19" s="18">
        <v>902.25</v>
      </c>
      <c r="O19" s="19">
        <v>40179</v>
      </c>
    </row>
    <row r="20" spans="1:15" ht="45" x14ac:dyDescent="0.25">
      <c r="A20" s="6" t="s">
        <v>37</v>
      </c>
      <c r="B20" s="6" t="s">
        <v>36</v>
      </c>
      <c r="C20" s="6" t="s">
        <v>76</v>
      </c>
      <c r="D20" s="26" t="s">
        <v>38</v>
      </c>
      <c r="E20" s="26" t="s">
        <v>38</v>
      </c>
      <c r="F20" s="26" t="s">
        <v>38</v>
      </c>
      <c r="G20" s="26" t="s">
        <v>38</v>
      </c>
      <c r="H20" s="26" t="s">
        <v>38</v>
      </c>
      <c r="I20" s="26" t="s">
        <v>38</v>
      </c>
      <c r="J20" s="26" t="s">
        <v>38</v>
      </c>
      <c r="K20" s="26" t="s">
        <v>38</v>
      </c>
      <c r="L20" s="26" t="s">
        <v>38</v>
      </c>
      <c r="M20" s="26" t="s">
        <v>38</v>
      </c>
      <c r="N20" s="26" t="s">
        <v>38</v>
      </c>
      <c r="O20" s="19">
        <v>39814</v>
      </c>
    </row>
    <row r="21" spans="1:15" ht="45" x14ac:dyDescent="0.25">
      <c r="A21" s="6" t="s">
        <v>37</v>
      </c>
      <c r="B21" s="6" t="s">
        <v>36</v>
      </c>
      <c r="C21" s="6" t="s">
        <v>77</v>
      </c>
      <c r="D21" s="26" t="s">
        <v>38</v>
      </c>
      <c r="E21" s="26" t="s">
        <v>38</v>
      </c>
      <c r="F21" s="26" t="s">
        <v>38</v>
      </c>
      <c r="G21" s="26" t="s">
        <v>38</v>
      </c>
      <c r="H21" s="26" t="s">
        <v>38</v>
      </c>
      <c r="I21" s="26" t="s">
        <v>38</v>
      </c>
      <c r="J21" s="26" t="s">
        <v>38</v>
      </c>
      <c r="K21" s="26" t="s">
        <v>38</v>
      </c>
      <c r="L21" s="26" t="s">
        <v>38</v>
      </c>
      <c r="M21" s="26" t="s">
        <v>38</v>
      </c>
      <c r="N21" s="26" t="s">
        <v>38</v>
      </c>
      <c r="O21" s="19">
        <v>39814</v>
      </c>
    </row>
    <row r="22" spans="1:15" ht="45" x14ac:dyDescent="0.25">
      <c r="A22" s="6" t="s">
        <v>37</v>
      </c>
      <c r="B22" s="6" t="s">
        <v>36</v>
      </c>
      <c r="C22" s="6" t="s">
        <v>71</v>
      </c>
      <c r="D22" s="26" t="s">
        <v>38</v>
      </c>
      <c r="E22" s="26" t="s">
        <v>38</v>
      </c>
      <c r="F22" s="26" t="s">
        <v>38</v>
      </c>
      <c r="G22" s="26" t="s">
        <v>38</v>
      </c>
      <c r="H22" s="26" t="s">
        <v>38</v>
      </c>
      <c r="I22" s="26" t="s">
        <v>38</v>
      </c>
      <c r="J22" s="26" t="s">
        <v>38</v>
      </c>
      <c r="K22" s="26" t="s">
        <v>38</v>
      </c>
      <c r="L22" s="26" t="s">
        <v>38</v>
      </c>
      <c r="M22" s="26" t="s">
        <v>38</v>
      </c>
      <c r="N22" s="26" t="s">
        <v>38</v>
      </c>
      <c r="O22" s="19">
        <v>39814</v>
      </c>
    </row>
    <row r="23" spans="1:15" x14ac:dyDescent="0.25">
      <c r="A23" s="6" t="s">
        <v>39</v>
      </c>
      <c r="B23" s="6" t="s">
        <v>36</v>
      </c>
      <c r="C23" s="6" t="s">
        <v>74</v>
      </c>
      <c r="D23" s="9">
        <v>272000</v>
      </c>
      <c r="E23" s="24">
        <f>SUM(283647+4162+6000)</f>
        <v>293809</v>
      </c>
      <c r="F23" s="4">
        <v>1</v>
      </c>
      <c r="G23" s="4">
        <v>0</v>
      </c>
      <c r="H23" s="4">
        <v>6</v>
      </c>
      <c r="I23" s="34">
        <v>6</v>
      </c>
      <c r="J23" s="35">
        <v>0</v>
      </c>
      <c r="K23" s="35">
        <v>0</v>
      </c>
      <c r="L23" s="10">
        <v>1100</v>
      </c>
      <c r="M23" s="18">
        <v>53.1</v>
      </c>
      <c r="N23" s="18">
        <v>59.8</v>
      </c>
      <c r="O23" s="19">
        <v>40179</v>
      </c>
    </row>
    <row r="24" spans="1:15" ht="30" x14ac:dyDescent="0.25">
      <c r="A24" s="6" t="s">
        <v>40</v>
      </c>
      <c r="B24" s="6" t="s">
        <v>36</v>
      </c>
      <c r="C24" s="6" t="s">
        <v>80</v>
      </c>
      <c r="D24" s="9">
        <v>650000</v>
      </c>
      <c r="E24" s="9">
        <v>842500</v>
      </c>
      <c r="F24" s="4">
        <v>0</v>
      </c>
      <c r="G24" s="4">
        <v>0</v>
      </c>
      <c r="H24" s="4">
        <v>8</v>
      </c>
      <c r="I24" s="34">
        <v>8</v>
      </c>
      <c r="J24" s="35">
        <v>0</v>
      </c>
      <c r="K24" s="35">
        <v>0</v>
      </c>
      <c r="L24" s="10">
        <v>500</v>
      </c>
      <c r="M24" s="18">
        <v>495.48</v>
      </c>
      <c r="N24" s="25">
        <v>1565.56</v>
      </c>
      <c r="O24" s="19">
        <v>40179</v>
      </c>
    </row>
    <row r="25" spans="1:15" ht="30" x14ac:dyDescent="0.25">
      <c r="A25" s="6" t="s">
        <v>41</v>
      </c>
      <c r="B25" s="2" t="s">
        <v>42</v>
      </c>
      <c r="C25" s="6" t="s">
        <v>81</v>
      </c>
      <c r="D25" s="9">
        <v>94000000</v>
      </c>
      <c r="E25" s="9">
        <f>SUM(191005110+19281211+12224354+9337509+889,284)</f>
        <v>231849357</v>
      </c>
      <c r="F25" s="3">
        <v>0</v>
      </c>
      <c r="G25" s="3">
        <v>0</v>
      </c>
      <c r="H25" s="3">
        <v>786</v>
      </c>
      <c r="I25" s="3">
        <v>22</v>
      </c>
      <c r="J25" s="3">
        <v>490</v>
      </c>
      <c r="K25" s="3">
        <f>H25-I25-J25</f>
        <v>274</v>
      </c>
      <c r="L25" s="10">
        <v>1142</v>
      </c>
      <c r="M25" s="11">
        <v>1885.01</v>
      </c>
      <c r="N25" s="11">
        <v>2044.33</v>
      </c>
      <c r="O25" s="12">
        <v>40179</v>
      </c>
    </row>
    <row r="26" spans="1:15" x14ac:dyDescent="0.25">
      <c r="A26" s="6" t="s">
        <v>43</v>
      </c>
      <c r="B26" s="2" t="s">
        <v>42</v>
      </c>
      <c r="C26" s="6" t="s">
        <v>82</v>
      </c>
      <c r="D26" s="9">
        <v>22000000</v>
      </c>
      <c r="E26" s="9">
        <v>29459544.100000001</v>
      </c>
      <c r="F26" s="3">
        <v>0</v>
      </c>
      <c r="G26" s="3">
        <v>0</v>
      </c>
      <c r="H26" s="3" t="s">
        <v>18</v>
      </c>
      <c r="I26" s="3" t="s">
        <v>18</v>
      </c>
      <c r="J26" s="3">
        <v>0</v>
      </c>
      <c r="K26" s="3" t="s">
        <v>18</v>
      </c>
      <c r="L26" s="3" t="s">
        <v>18</v>
      </c>
      <c r="M26" s="3" t="s">
        <v>18</v>
      </c>
      <c r="N26" s="3" t="s">
        <v>18</v>
      </c>
      <c r="O26" s="12">
        <v>40909</v>
      </c>
    </row>
    <row r="27" spans="1:15" ht="30" x14ac:dyDescent="0.25">
      <c r="A27" s="6" t="s">
        <v>44</v>
      </c>
      <c r="B27" s="6" t="s">
        <v>45</v>
      </c>
      <c r="C27" s="6" t="s">
        <v>83</v>
      </c>
      <c r="D27" s="9">
        <v>50000000</v>
      </c>
      <c r="E27" s="24">
        <f>SUM(188126850+380870+1129831+652059+5066340+502075+2698549+260,995+831,801)</f>
        <v>198559461</v>
      </c>
      <c r="F27" s="4">
        <v>150</v>
      </c>
      <c r="G27" s="4">
        <v>0</v>
      </c>
      <c r="H27" s="4">
        <v>191</v>
      </c>
      <c r="I27" s="4">
        <v>16</v>
      </c>
      <c r="J27" s="4">
        <v>14</v>
      </c>
      <c r="K27" s="35">
        <f>H27-I27-J27</f>
        <v>161</v>
      </c>
      <c r="L27" s="10">
        <v>1025</v>
      </c>
      <c r="M27" s="11">
        <v>227.28</v>
      </c>
      <c r="N27" s="11">
        <v>267.45999999999998</v>
      </c>
      <c r="O27" s="19">
        <v>40179</v>
      </c>
    </row>
    <row r="28" spans="1:15" x14ac:dyDescent="0.25">
      <c r="A28" s="6" t="s">
        <v>46</v>
      </c>
      <c r="B28" s="6" t="s">
        <v>47</v>
      </c>
      <c r="C28" s="6" t="s">
        <v>48</v>
      </c>
      <c r="D28" s="9">
        <v>1050000</v>
      </c>
      <c r="E28" s="9">
        <v>2258217</v>
      </c>
      <c r="F28" s="4">
        <v>0</v>
      </c>
      <c r="G28" s="4">
        <v>0</v>
      </c>
      <c r="H28" s="4" t="s">
        <v>18</v>
      </c>
      <c r="I28" s="4">
        <v>0</v>
      </c>
      <c r="J28" s="4">
        <v>305</v>
      </c>
      <c r="K28" s="35" t="s">
        <v>18</v>
      </c>
      <c r="L28" s="10">
        <v>0</v>
      </c>
      <c r="M28" s="35" t="s">
        <v>18</v>
      </c>
      <c r="N28" s="35" t="s">
        <v>18</v>
      </c>
      <c r="O28" s="19">
        <v>40179</v>
      </c>
    </row>
    <row r="29" spans="1:15" ht="30" x14ac:dyDescent="0.25">
      <c r="A29" s="8" t="s">
        <v>49</v>
      </c>
      <c r="B29" s="6" t="s">
        <v>50</v>
      </c>
      <c r="C29" s="6" t="s">
        <v>84</v>
      </c>
      <c r="D29" s="9">
        <v>0</v>
      </c>
      <c r="E29" s="9">
        <f>11862086+519549+11672.39</f>
        <v>12393307.390000001</v>
      </c>
      <c r="F29" s="4">
        <v>0</v>
      </c>
      <c r="G29" s="4">
        <v>0</v>
      </c>
      <c r="H29" s="4">
        <v>15</v>
      </c>
      <c r="I29" s="4">
        <v>3</v>
      </c>
      <c r="J29" s="4">
        <v>8</v>
      </c>
      <c r="K29" s="3">
        <v>4</v>
      </c>
      <c r="L29" s="10">
        <v>1000</v>
      </c>
      <c r="M29" s="4">
        <v>935.82</v>
      </c>
      <c r="N29" s="4">
        <v>812.93</v>
      </c>
      <c r="O29" s="19">
        <v>39814</v>
      </c>
    </row>
    <row r="30" spans="1:15" ht="45" x14ac:dyDescent="0.25">
      <c r="A30" s="6" t="s">
        <v>51</v>
      </c>
      <c r="B30" s="6" t="s">
        <v>51</v>
      </c>
      <c r="C30" s="6" t="s">
        <v>72</v>
      </c>
      <c r="D30" s="9">
        <v>302000</v>
      </c>
      <c r="E30" s="9">
        <v>723915</v>
      </c>
      <c r="F30" s="6" t="s">
        <v>38</v>
      </c>
      <c r="G30" s="6" t="s">
        <v>38</v>
      </c>
      <c r="H30" s="6" t="s">
        <v>38</v>
      </c>
      <c r="I30" s="6" t="s">
        <v>38</v>
      </c>
      <c r="J30" s="6" t="s">
        <v>38</v>
      </c>
      <c r="K30" s="6" t="s">
        <v>38</v>
      </c>
      <c r="L30" s="6" t="s">
        <v>38</v>
      </c>
      <c r="M30" s="6" t="s">
        <v>38</v>
      </c>
      <c r="N30" s="6" t="s">
        <v>38</v>
      </c>
      <c r="O30" s="19">
        <v>39814</v>
      </c>
    </row>
    <row r="31" spans="1:15" x14ac:dyDescent="0.25">
      <c r="A31" s="6" t="s">
        <v>52</v>
      </c>
      <c r="B31" s="6" t="s">
        <v>53</v>
      </c>
      <c r="C31" s="6" t="s">
        <v>78</v>
      </c>
      <c r="D31" s="9">
        <v>0</v>
      </c>
      <c r="E31" s="9">
        <f>SUM(6692268.06+2700166.4+456109.3+215000)</f>
        <v>10063543.76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25" t="s">
        <v>18</v>
      </c>
      <c r="N31" s="25" t="s">
        <v>18</v>
      </c>
      <c r="O31" s="19">
        <v>39448</v>
      </c>
    </row>
    <row r="32" spans="1:15" ht="30" x14ac:dyDescent="0.25">
      <c r="A32" s="6" t="s">
        <v>54</v>
      </c>
      <c r="B32" s="6" t="s">
        <v>53</v>
      </c>
      <c r="C32" s="6" t="s">
        <v>85</v>
      </c>
      <c r="D32" s="9">
        <v>0</v>
      </c>
      <c r="E32" s="9">
        <f>SUM(5119952+2007142+85000+1013620+45000+45000+18567+256,590+1,0)</f>
        <v>8335128</v>
      </c>
      <c r="F32" s="4">
        <v>0</v>
      </c>
      <c r="G32" s="4">
        <v>0</v>
      </c>
      <c r="H32" s="4">
        <v>13</v>
      </c>
      <c r="I32" s="4">
        <v>4</v>
      </c>
      <c r="J32" s="4">
        <v>0</v>
      </c>
      <c r="K32" s="35">
        <f>H32-I32</f>
        <v>9</v>
      </c>
      <c r="L32" s="10">
        <v>0</v>
      </c>
      <c r="M32" s="25">
        <v>2160.33</v>
      </c>
      <c r="N32" s="25">
        <v>3122.1</v>
      </c>
      <c r="O32" s="19">
        <v>39814</v>
      </c>
    </row>
    <row r="33" spans="1:15" ht="30" x14ac:dyDescent="0.25">
      <c r="A33" s="2" t="s">
        <v>55</v>
      </c>
      <c r="B33" s="2" t="s">
        <v>56</v>
      </c>
      <c r="C33" s="2" t="s">
        <v>57</v>
      </c>
      <c r="D33" s="9">
        <v>400000000</v>
      </c>
      <c r="E33" s="9">
        <f>467650317+4857157+86874+1366877+14079234+3732046</f>
        <v>491772505</v>
      </c>
      <c r="F33" s="4">
        <v>0</v>
      </c>
      <c r="G33" s="34">
        <v>12000</v>
      </c>
      <c r="H33" s="34">
        <v>5579</v>
      </c>
      <c r="I33" s="4">
        <v>793</v>
      </c>
      <c r="J33" s="34">
        <v>6758</v>
      </c>
      <c r="K33" s="34">
        <f>H33-I33-J33</f>
        <v>-1972</v>
      </c>
      <c r="L33" s="10">
        <v>2040</v>
      </c>
      <c r="M33" s="18" t="s">
        <v>18</v>
      </c>
      <c r="N33" s="18" t="s">
        <v>18</v>
      </c>
      <c r="O33" s="19">
        <v>40544</v>
      </c>
    </row>
    <row r="34" spans="1:15" ht="30" x14ac:dyDescent="0.25">
      <c r="A34" s="13" t="s">
        <v>58</v>
      </c>
      <c r="B34" s="2" t="s">
        <v>56</v>
      </c>
      <c r="C34" s="2" t="s">
        <v>75</v>
      </c>
      <c r="D34" s="9">
        <v>75000000</v>
      </c>
      <c r="E34" s="9">
        <f>SUM(30021452.15+34820464+45952708+90686570+177,197,285)</f>
        <v>201481853.15000001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35">
        <v>0</v>
      </c>
      <c r="L34" s="10">
        <v>0</v>
      </c>
      <c r="M34" s="18" t="s">
        <v>18</v>
      </c>
      <c r="N34" s="18" t="s">
        <v>18</v>
      </c>
      <c r="O34" s="19">
        <v>40909</v>
      </c>
    </row>
  </sheetData>
  <printOptions horizontalCentered="1"/>
  <pageMargins left="0.5" right="0.5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Geo Company Specific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2023-07-05T19:22:57Z</dcterms:created>
  <dcterms:modified xsi:type="dcterms:W3CDTF">2024-08-15T13:58:55Z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2024-08-15T13:58:41Z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8018c488-962a-43ac-9e7d-4b49a08e4fd7</vt:lpwstr>
  </property>
  <property fmtid="{D5CDD505-2E9C-101B-9397-08002B2CF9AE}" pid="8" name="MSIP_Label_3a2fed65-62e7-46ea-af74-187e0c17143a_ContentBits">
    <vt:lpwstr>0</vt:lpwstr>
  </property>
</Properties>
</file>